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60" windowHeight="14370"/>
  </bookViews>
  <sheets>
    <sheet name="Margin" sheetId="2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43025.6497569444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Margin!$A$1:$S$64</definedName>
  </definedNames>
  <calcPr calcId="145621" calcMode="autoNoTable" iterate="1"/>
</workbook>
</file>

<file path=xl/calcChain.xml><?xml version="1.0" encoding="utf-8"?>
<calcChain xmlns="http://schemas.openxmlformats.org/spreadsheetml/2006/main">
  <c r="I49" i="2" l="1"/>
  <c r="I29" i="2"/>
  <c r="I34" i="2" s="1"/>
  <c r="J27" i="2"/>
  <c r="G58" i="2"/>
  <c r="G39" i="2"/>
  <c r="F39" i="2"/>
  <c r="I36" i="2"/>
  <c r="J28" i="2"/>
  <c r="I23" i="2"/>
  <c r="G22" i="2"/>
  <c r="I22" i="2" s="1"/>
  <c r="G27" i="2"/>
  <c r="G30" i="2" s="1"/>
  <c r="I30" i="2" s="1"/>
  <c r="F27" i="2"/>
  <c r="F24" i="2" s="1"/>
  <c r="F38" i="2" s="1"/>
  <c r="I43" i="2"/>
  <c r="J36" i="2"/>
  <c r="F37" i="2"/>
  <c r="G37" i="2"/>
  <c r="F42" i="2"/>
  <c r="G42" i="2"/>
  <c r="I42" i="2"/>
  <c r="F43" i="2"/>
  <c r="G43" i="2"/>
  <c r="F49" i="2"/>
  <c r="G49" i="2"/>
  <c r="N49" i="2" s="1"/>
  <c r="I41" i="2" l="1"/>
  <c r="J41" i="2" s="1"/>
  <c r="J29" i="2"/>
  <c r="J42" i="2"/>
  <c r="G55" i="2"/>
  <c r="F44" i="2"/>
  <c r="F50" i="2" s="1"/>
  <c r="G59" i="2"/>
  <c r="I27" i="2"/>
  <c r="I24" i="2" s="1"/>
  <c r="J43" i="2"/>
  <c r="J34" i="2"/>
  <c r="G24" i="2"/>
  <c r="F30" i="2"/>
  <c r="G44" i="2"/>
  <c r="G50" i="2" s="1"/>
  <c r="N50" i="2"/>
  <c r="F45" i="2"/>
  <c r="O49" i="2"/>
  <c r="I44" i="2" l="1"/>
  <c r="J44" i="2" s="1"/>
  <c r="I25" i="2"/>
  <c r="J25" i="2" s="1"/>
  <c r="G21" i="2"/>
  <c r="G38" i="2"/>
  <c r="G51" i="2" s="1"/>
  <c r="J24" i="2"/>
  <c r="I38" i="2"/>
  <c r="J38" i="2" s="1"/>
  <c r="I21" i="2"/>
  <c r="J21" i="2" s="1"/>
  <c r="G54" i="2"/>
  <c r="F51" i="2"/>
  <c r="N51" i="2" s="1"/>
  <c r="I26" i="2" l="1"/>
  <c r="J26" i="2" s="1"/>
  <c r="I35" i="2"/>
  <c r="I58" i="2"/>
  <c r="I59" i="2" s="1"/>
  <c r="I39" i="2" l="1"/>
  <c r="I46" i="2" s="1"/>
  <c r="I45" i="2" s="1"/>
  <c r="I51" i="2" s="1"/>
  <c r="O51" i="2" s="1"/>
  <c r="J35" i="2"/>
  <c r="I37" i="2"/>
  <c r="J39" i="2"/>
  <c r="I54" i="2" l="1"/>
  <c r="J37" i="2"/>
  <c r="I50" i="2"/>
  <c r="O50" i="2" l="1"/>
  <c r="I47" i="2"/>
</calcChain>
</file>

<file path=xl/comments1.xml><?xml version="1.0" encoding="utf-8"?>
<comments xmlns="http://schemas.openxmlformats.org/spreadsheetml/2006/main">
  <authors>
    <author>Charles Korn</author>
  </authors>
  <commentList>
    <comment ref="I21" authorId="0">
      <text>
        <r>
          <rPr>
            <b/>
            <sz val="9"/>
            <color indexed="81"/>
            <rFont val="Tahoma"/>
            <family val="2"/>
          </rPr>
          <t>Implied based on other assumptions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Management guidance calls for 5-6% (including growth in Client Funds)</t>
        </r>
      </text>
    </comment>
    <comment ref="G22" authorId="0">
      <text>
        <r>
          <rPr>
            <sz val="9"/>
            <color indexed="81"/>
            <rFont val="Tahoma"/>
            <family val="2"/>
          </rPr>
          <t>HRBPO (pg. 14) of $4.2bn less reported PEO revenue</t>
        </r>
      </text>
    </comment>
    <comment ref="J22" authorId="0">
      <text>
        <r>
          <rPr>
            <sz val="9"/>
            <color indexed="81"/>
            <rFont val="Tahoma"/>
            <family val="2"/>
          </rPr>
          <t>Low end of management forecast</t>
        </r>
      </text>
    </comment>
    <comment ref="G23" authorId="0">
      <text>
        <r>
          <rPr>
            <sz val="9"/>
            <color indexed="81"/>
            <rFont val="Tahoma"/>
            <family val="2"/>
          </rPr>
          <t>Pg. 14, noted at $1.8bn, less estimated $50m in net Client Funds Interest</t>
        </r>
      </text>
    </comment>
    <comment ref="J23" authorId="0">
      <text>
        <r>
          <rPr>
            <sz val="9"/>
            <color indexed="81"/>
            <rFont val="Tahoma"/>
            <family val="2"/>
          </rPr>
          <t>Low end of management forecast</t>
        </r>
      </text>
    </comment>
    <comment ref="I28" authorId="0">
      <text>
        <r>
          <rPr>
            <sz val="9"/>
            <color indexed="81"/>
            <rFont val="Tahoma"/>
            <family val="2"/>
          </rPr>
          <t>Rates resetting upwards off low base as low yielding maturities roll off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Midpoint of management's long-term plan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Charles Korn:</t>
        </r>
        <r>
          <rPr>
            <sz val="9"/>
            <color indexed="81"/>
            <rFont val="Tahoma"/>
            <family val="2"/>
          </rPr>
          <t xml:space="preserve">
Assumes pass-through as a % of total PEO headline revenue constant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Midpoint of management's guidance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Estimated at 10% of Client Funds revenue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Allocates corporate overhead. See page 150 of our original August 17th presentation for a detailed segment analysis</t>
        </r>
      </text>
    </comment>
    <comment ref="I45" authorId="0">
      <text>
        <r>
          <rPr>
            <sz val="9"/>
            <color indexed="81"/>
            <rFont val="Tahoma"/>
            <family val="2"/>
          </rPr>
          <t>Implied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Allocates corporate overhead. See page 150 of our original August 17th presentation for a detailed segment analysis</t>
        </r>
      </text>
    </comment>
    <comment ref="I46" authorId="0">
      <text>
        <r>
          <rPr>
            <sz val="9"/>
            <color indexed="81"/>
            <rFont val="Tahoma"/>
            <family val="2"/>
          </rPr>
          <t>Based on estimate of PEO net economic flow-through margins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>Midpoint of management's long-term plan</t>
        </r>
      </text>
    </comment>
    <comment ref="O50" authorId="0">
      <text>
        <r>
          <rPr>
            <b/>
            <sz val="9"/>
            <color indexed="81"/>
            <rFont val="Tahoma"/>
            <family val="2"/>
          </rPr>
          <t>Implied future Net Operational Margin expansion per management plan</t>
        </r>
      </text>
    </comment>
    <comment ref="O51" authorId="0">
      <text>
        <r>
          <rPr>
            <b/>
            <sz val="9"/>
            <color indexed="81"/>
            <rFont val="Tahoma"/>
            <family val="2"/>
          </rPr>
          <t>Implied Employer Services Net Operational Margin expansion per management plan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5" authorId="0">
      <text>
        <r>
          <rPr>
            <sz val="9"/>
            <color indexed="81"/>
            <rFont val="Tahoma"/>
            <family val="2"/>
          </rPr>
          <t>Note: Historical flow-through rates has accelerated in recent years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We have trouble finding a scenario where the drag is sufficiently large in the context of other assumptions to achieve management's stated drag of 3.5-4.5% unless they are calculating the implied drag differently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<sst xmlns="http://schemas.openxmlformats.org/spreadsheetml/2006/main" count="76" uniqueCount="67">
  <si>
    <t>PEO</t>
  </si>
  <si>
    <t>Employer Services</t>
  </si>
  <si>
    <t>Margins (%)</t>
  </si>
  <si>
    <t>of which, PEO</t>
  </si>
  <si>
    <t>of which, Employer Services</t>
  </si>
  <si>
    <t>(-) Corporate Extended, Net</t>
  </si>
  <si>
    <t>(-) Client Funds Interest Revenue</t>
  </si>
  <si>
    <t>Net Operational Revenue</t>
  </si>
  <si>
    <t>(-) Client Funds Interest</t>
  </si>
  <si>
    <t>(-) PEO Pass-Through</t>
  </si>
  <si>
    <t>Revenue</t>
  </si>
  <si>
    <t>2017 - 2020</t>
  </si>
  <si>
    <t>2011 - 2017</t>
  </si>
  <si>
    <t>'17-20 CAGR</t>
  </si>
  <si>
    <t>ADP Method (Pg.60)</t>
  </si>
  <si>
    <t>ADP</t>
  </si>
  <si>
    <t>Deconstructing ADP's Long-Term Plan</t>
  </si>
  <si>
    <t>($ in millions, unless otherwise noted)</t>
  </si>
  <si>
    <t>FY 2017A</t>
  </si>
  <si>
    <t>FY 2011A</t>
  </si>
  <si>
    <t>FY 2020E</t>
  </si>
  <si>
    <t>Reported Margin (%)</t>
  </si>
  <si>
    <t>Net Operational Margin (%) (1)</t>
  </si>
  <si>
    <t>(1): Net Operational Profit / Net Operational Revenue. Excludes Client Funds and PEO pass-through costs.</t>
  </si>
  <si>
    <t>Adjusted EBIT (As Reported)</t>
  </si>
  <si>
    <t>Adjusted Net Operational Profit</t>
  </si>
  <si>
    <t>Employer Services Operational Margin (%)</t>
  </si>
  <si>
    <r>
      <t xml:space="preserve">Note: </t>
    </r>
    <r>
      <rPr>
        <b/>
        <u/>
        <sz val="11"/>
        <color rgb="FF3366FF"/>
        <rFont val="Arial"/>
        <family val="2"/>
      </rPr>
      <t>Blue</t>
    </r>
    <r>
      <rPr>
        <sz val="11"/>
        <color theme="1"/>
        <rFont val="Arial"/>
        <family val="2"/>
      </rPr>
      <t xml:space="preserve"> font represents hard-code inputs based on historical / reported results, </t>
    </r>
    <r>
      <rPr>
        <b/>
        <u/>
        <sz val="11"/>
        <color rgb="FF7030A0"/>
        <rFont val="Arial"/>
        <family val="2"/>
      </rPr>
      <t>purple</t>
    </r>
    <r>
      <rPr>
        <sz val="11"/>
        <color theme="1"/>
        <rFont val="Arial"/>
        <family val="2"/>
      </rPr>
      <t xml:space="preserve"> represents forward assumptions (informed by management's plan), </t>
    </r>
    <r>
      <rPr>
        <b/>
        <u/>
        <sz val="11"/>
        <color rgb="FF339933"/>
        <rFont val="Arial"/>
        <family val="2"/>
      </rPr>
      <t>green</t>
    </r>
    <r>
      <rPr>
        <sz val="11"/>
        <color theme="1"/>
        <rFont val="Arial"/>
        <family val="2"/>
      </rPr>
      <t xml:space="preserve"> represents forward assumptions per PSCM.</t>
    </r>
  </si>
  <si>
    <t>ADP Long-Term Plan (Pg.34/35)</t>
  </si>
  <si>
    <t>Source: ADP September 12th Presentation and SEC financials.</t>
  </si>
  <si>
    <t>Management</t>
  </si>
  <si>
    <t>"Global Solutions"</t>
  </si>
  <si>
    <t>"HRBPO Solution"</t>
  </si>
  <si>
    <t>Client Funds Interest</t>
  </si>
  <si>
    <t>Employer Services (Operational)</t>
  </si>
  <si>
    <t>Revenue (Reported)</t>
  </si>
  <si>
    <t>NA</t>
  </si>
  <si>
    <t xml:space="preserve">NA  </t>
  </si>
  <si>
    <t>PEO (Net Economic Revenue)</t>
  </si>
  <si>
    <t>PEO (Pass-Through)</t>
  </si>
  <si>
    <t>Memo: PEO Pass-Through as % of Total PEO</t>
  </si>
  <si>
    <t>6-7% CAGR</t>
  </si>
  <si>
    <t>12-14% CAGR</t>
  </si>
  <si>
    <t>5-6% CAGR</t>
  </si>
  <si>
    <t>7-9% CAGR</t>
  </si>
  <si>
    <t>"Integrated HCM Solutions" (**Excludes Client Funds)</t>
  </si>
  <si>
    <t>of which, PEO (Net)</t>
  </si>
  <si>
    <t>PEO (Net)</t>
  </si>
  <si>
    <t xml:space="preserve">        margin expansion</t>
  </si>
  <si>
    <t>MANAGEMENT REVENUE BRIDGE (Pg. 34)</t>
  </si>
  <si>
    <t>MARGIN BRIDGE (Implied by Pg. 34 &amp; 35)</t>
  </si>
  <si>
    <t>Cumulative Change (%)</t>
  </si>
  <si>
    <t>&gt;&gt;&gt; Implied net opertional</t>
  </si>
  <si>
    <t>Forecast</t>
  </si>
  <si>
    <t>3.5-4.5% Cum. Drag</t>
  </si>
  <si>
    <t>Memo: PEO Pass-Through Drag to Reported Margins (%)</t>
  </si>
  <si>
    <t>Implied Reported Margins Assuming Constant PEO Pass-Throughs</t>
  </si>
  <si>
    <t>Implied PEO Pass-Through Drag to Report Margins</t>
  </si>
  <si>
    <t>Memo: Flow-Through Margin (%)</t>
  </si>
  <si>
    <t>KEY ASSUMPTIONS</t>
  </si>
  <si>
    <t>FY 2020E Reported Revenue</t>
  </si>
  <si>
    <t>PEO Growth Rate (%)</t>
  </si>
  <si>
    <t>FY 2020E Adjusted EBIT Margin (%)</t>
  </si>
  <si>
    <t>&gt; Midpoint of management's long-term plan (Pg. 35)</t>
  </si>
  <si>
    <t>&gt; Midpoint of management's long-term plan (Pg. 34)</t>
  </si>
  <si>
    <t>21-22%</t>
  </si>
  <si>
    <t>*Claims ~500bps*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</si>
</sst>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&quot;$&quot;#,##0.000_);\(&quot;$&quot;#,##0.000\);&quot;$&quot;#,##0.000_);&quot;NA &quot;"/>
    <numFmt numFmtId="165" formatCode="0.0%_);\(0.0%\);&quot;0.0%&quot;_);&quot;NA &quot;"/>
    <numFmt numFmtId="166" formatCode="&quot;$&quot;#,##0_);\(&quot;$&quot;#,##0\);&quot;$&quot;#,##0_);&quot;NA &quot;"/>
    <numFmt numFmtId="167" formatCode="0.0%_);\(0.0%\);&quot;0% &quot;;&quot;NA &quot;"/>
    <numFmt numFmtId="168" formatCode="0.00%_);\(0.00%\);&quot;0.0%&quot;_);&quot;NA &quot;"/>
    <numFmt numFmtId="169" formatCode="#,##0_);\(#,##0\);#,##0_);&quot;NA &quot;"/>
    <numFmt numFmtId="174" formatCode="#,##0.0_);\(#,##0.0\)"/>
  </numFmts>
  <fonts count="3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i/>
      <sz val="12"/>
      <color theme="1"/>
      <name val="Arial"/>
      <family val="2"/>
    </font>
    <font>
      <b/>
      <sz val="2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u/>
      <sz val="11"/>
      <color rgb="FF0000FF"/>
      <name val="Arial"/>
      <family val="2"/>
    </font>
    <font>
      <i/>
      <sz val="11"/>
      <color rgb="FF0000FF"/>
      <name val="Arial"/>
      <family val="2"/>
    </font>
    <font>
      <sz val="11"/>
      <name val="Arial"/>
      <family val="2"/>
    </font>
    <font>
      <b/>
      <u val="singleAccounting"/>
      <sz val="11"/>
      <name val="Arial"/>
      <family val="2"/>
    </font>
    <font>
      <b/>
      <u/>
      <sz val="11"/>
      <color rgb="FF7030A0"/>
      <name val="Arial"/>
      <family val="2"/>
    </font>
    <font>
      <b/>
      <u/>
      <sz val="11"/>
      <color rgb="FF3366FF"/>
      <name val="Arial"/>
      <family val="2"/>
    </font>
    <font>
      <u/>
      <sz val="11"/>
      <color rgb="FF008000"/>
      <name val="Arial"/>
      <family val="2"/>
    </font>
    <font>
      <u/>
      <sz val="11"/>
      <color rgb="FF800080"/>
      <name val="Arial"/>
      <family val="2"/>
    </font>
    <font>
      <i/>
      <sz val="11"/>
      <color rgb="FF008000"/>
      <name val="Arial"/>
      <family val="2"/>
    </font>
    <font>
      <sz val="11"/>
      <color rgb="FF800080"/>
      <name val="Arial"/>
      <family val="2"/>
    </font>
    <font>
      <b/>
      <sz val="11"/>
      <color rgb="FF80008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Arial"/>
      <family val="2"/>
    </font>
    <font>
      <i/>
      <sz val="11"/>
      <color rgb="FF000000"/>
      <name val="Arial"/>
      <family val="2"/>
    </font>
    <font>
      <b/>
      <u/>
      <sz val="11"/>
      <color rgb="FF339933"/>
      <name val="Arial"/>
      <family val="2"/>
    </font>
    <font>
      <u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0" xfId="1"/>
    <xf numFmtId="0" fontId="1" fillId="0" borderId="0" xfId="1" applyFont="1"/>
    <xf numFmtId="165" fontId="5" fillId="0" borderId="0" xfId="1" applyNumberFormat="1" applyFont="1"/>
    <xf numFmtId="0" fontId="5" fillId="0" borderId="0" xfId="1" applyFont="1" applyAlignment="1">
      <alignment horizontal="left" indent="1"/>
    </xf>
    <xf numFmtId="166" fontId="1" fillId="0" borderId="0" xfId="1" applyNumberFormat="1" applyFont="1"/>
    <xf numFmtId="0" fontId="6" fillId="0" borderId="0" xfId="1" applyFont="1"/>
    <xf numFmtId="168" fontId="1" fillId="0" borderId="0" xfId="1" applyNumberFormat="1" applyFont="1"/>
    <xf numFmtId="168" fontId="3" fillId="0" borderId="0" xfId="1" applyNumberFormat="1" applyFont="1"/>
    <xf numFmtId="165" fontId="1" fillId="0" borderId="0" xfId="1" applyNumberFormat="1" applyFont="1"/>
    <xf numFmtId="0" fontId="1" fillId="0" borderId="0" xfId="1" applyFont="1" applyAlignment="1">
      <alignment horizontal="left" indent="1"/>
    </xf>
    <xf numFmtId="166" fontId="5" fillId="0" borderId="0" xfId="1" applyNumberFormat="1" applyFont="1"/>
    <xf numFmtId="166" fontId="3" fillId="3" borderId="0" xfId="1" applyNumberFormat="1" applyFont="1" applyFill="1"/>
    <xf numFmtId="0" fontId="3" fillId="3" borderId="0" xfId="1" applyFont="1" applyFill="1"/>
    <xf numFmtId="165" fontId="3" fillId="3" borderId="0" xfId="1" applyNumberFormat="1" applyFont="1" applyFill="1"/>
    <xf numFmtId="165" fontId="8" fillId="0" borderId="0" xfId="1" applyNumberFormat="1" applyFont="1"/>
    <xf numFmtId="169" fontId="8" fillId="0" borderId="0" xfId="1" applyNumberFormat="1" applyFont="1"/>
    <xf numFmtId="0" fontId="1" fillId="0" borderId="0" xfId="1" quotePrefix="1" applyFont="1" applyAlignment="1">
      <alignment horizontal="left" indent="1"/>
    </xf>
    <xf numFmtId="169" fontId="1" fillId="0" borderId="0" xfId="1" applyNumberFormat="1" applyFont="1"/>
    <xf numFmtId="167" fontId="1" fillId="0" borderId="0" xfId="1" applyNumberFormat="1" applyFont="1"/>
    <xf numFmtId="7" fontId="1" fillId="0" borderId="0" xfId="1" applyNumberFormat="1" applyFont="1"/>
    <xf numFmtId="164" fontId="1" fillId="0" borderId="0" xfId="1" applyNumberFormat="1" applyFont="1"/>
    <xf numFmtId="0" fontId="9" fillId="0" borderId="0" xfId="1" applyFont="1"/>
    <xf numFmtId="0" fontId="3" fillId="0" borderId="0" xfId="1" applyFont="1"/>
    <xf numFmtId="0" fontId="10" fillId="0" borderId="0" xfId="1" applyFont="1"/>
    <xf numFmtId="0" fontId="0" fillId="0" borderId="0" xfId="1" applyFont="1"/>
    <xf numFmtId="0" fontId="0" fillId="0" borderId="4" xfId="1" applyFont="1" applyBorder="1"/>
    <xf numFmtId="0" fontId="1" fillId="0" borderId="4" xfId="1" applyFont="1" applyBorder="1"/>
    <xf numFmtId="166" fontId="11" fillId="3" borderId="0" xfId="1" applyNumberFormat="1" applyFont="1" applyFill="1"/>
    <xf numFmtId="169" fontId="12" fillId="0" borderId="0" xfId="1" applyNumberFormat="1" applyFont="1"/>
    <xf numFmtId="169" fontId="13" fillId="0" borderId="0" xfId="1" applyNumberFormat="1" applyFont="1"/>
    <xf numFmtId="166" fontId="14" fillId="0" borderId="0" xfId="1" applyNumberFormat="1" applyFont="1"/>
    <xf numFmtId="169" fontId="19" fillId="0" borderId="0" xfId="1" applyNumberFormat="1" applyFont="1"/>
    <xf numFmtId="165" fontId="21" fillId="0" borderId="0" xfId="1" applyNumberFormat="1" applyFont="1"/>
    <xf numFmtId="165" fontId="22" fillId="0" borderId="0" xfId="1" applyNumberFormat="1" applyFont="1"/>
    <xf numFmtId="0" fontId="3" fillId="4" borderId="3" xfId="1" applyFont="1" applyFill="1" applyBorder="1" applyAlignment="1">
      <alignment horizontal="left" indent="1"/>
    </xf>
    <xf numFmtId="0" fontId="3" fillId="4" borderId="2" xfId="1" applyFont="1" applyFill="1" applyBorder="1"/>
    <xf numFmtId="165" fontId="3" fillId="4" borderId="2" xfId="1" applyNumberFormat="1" applyFont="1" applyFill="1" applyBorder="1"/>
    <xf numFmtId="168" fontId="3" fillId="4" borderId="2" xfId="1" applyNumberFormat="1" applyFont="1" applyFill="1" applyBorder="1"/>
    <xf numFmtId="168" fontId="3" fillId="4" borderId="1" xfId="1" applyNumberFormat="1" applyFont="1" applyFill="1" applyBorder="1"/>
    <xf numFmtId="0" fontId="0" fillId="0" borderId="0" xfId="1" applyFont="1" applyAlignment="1">
      <alignment horizontal="left" indent="1"/>
    </xf>
    <xf numFmtId="0" fontId="0" fillId="0" borderId="0" xfId="1" quotePrefix="1" applyFont="1"/>
    <xf numFmtId="0" fontId="3" fillId="4" borderId="2" xfId="1" applyFont="1" applyFill="1" applyBorder="1" applyAlignment="1">
      <alignment horizontal="left" indent="1"/>
    </xf>
    <xf numFmtId="0" fontId="26" fillId="0" borderId="0" xfId="1" applyFont="1"/>
    <xf numFmtId="169" fontId="29" fillId="0" borderId="0" xfId="1" applyNumberFormat="1" applyFont="1"/>
    <xf numFmtId="0" fontId="3" fillId="3" borderId="0" xfId="0" applyFont="1" applyFill="1"/>
    <xf numFmtId="0" fontId="0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174" fontId="1" fillId="0" borderId="0" xfId="1" applyNumberFormat="1" applyFont="1"/>
    <xf numFmtId="0" fontId="0" fillId="0" borderId="0" xfId="1" applyFont="1" applyAlignment="1">
      <alignment horizontal="center"/>
    </xf>
    <xf numFmtId="0" fontId="3" fillId="3" borderId="0" xfId="1" applyFont="1" applyFill="1" applyAlignment="1">
      <alignment horizontal="center"/>
    </xf>
    <xf numFmtId="165" fontId="20" fillId="0" borderId="0" xfId="1" applyNumberFormat="1" applyFont="1"/>
    <xf numFmtId="165" fontId="3" fillId="2" borderId="0" xfId="1" applyNumberFormat="1" applyFont="1" applyFill="1"/>
    <xf numFmtId="0" fontId="8" fillId="0" borderId="0" xfId="1" applyFont="1" applyAlignment="1">
      <alignment horizontal="center"/>
    </xf>
    <xf numFmtId="0" fontId="1" fillId="5" borderId="0" xfId="1" applyFont="1" applyFill="1"/>
    <xf numFmtId="174" fontId="1" fillId="5" borderId="0" xfId="1" applyNumberFormat="1" applyFont="1" applyFill="1"/>
    <xf numFmtId="0" fontId="4" fillId="5" borderId="0" xfId="1" applyFill="1"/>
    <xf numFmtId="0" fontId="2" fillId="5" borderId="0" xfId="1" applyFont="1" applyFill="1"/>
    <xf numFmtId="0" fontId="15" fillId="0" borderId="0" xfId="1" applyFont="1" applyFill="1"/>
    <xf numFmtId="0" fontId="16" fillId="0" borderId="0" xfId="1" applyFont="1" applyFill="1" applyAlignment="1">
      <alignment horizontal="centerContinuous"/>
    </xf>
    <xf numFmtId="0" fontId="30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6" fillId="0" borderId="0" xfId="1" quotePrefix="1" applyFont="1" applyFill="1" applyAlignment="1">
      <alignment horizontal="center"/>
    </xf>
    <xf numFmtId="166" fontId="31" fillId="3" borderId="0" xfId="1" applyNumberFormat="1" applyFont="1" applyFill="1"/>
    <xf numFmtId="169" fontId="7" fillId="0" borderId="0" xfId="1" applyNumberFormat="1" applyFont="1"/>
    <xf numFmtId="166" fontId="21" fillId="0" borderId="0" xfId="1" applyNumberFormat="1" applyFont="1"/>
    <xf numFmtId="166" fontId="27" fillId="0" borderId="0" xfId="1" applyNumberFormat="1" applyFont="1"/>
    <xf numFmtId="0" fontId="32" fillId="0" borderId="0" xfId="1" applyFont="1"/>
    <xf numFmtId="0" fontId="1" fillId="0" borderId="0" xfId="1" applyFont="1" applyFill="1"/>
    <xf numFmtId="0" fontId="5" fillId="0" borderId="0" xfId="0" applyFont="1" applyAlignment="1">
      <alignment horizontal="center"/>
    </xf>
    <xf numFmtId="169" fontId="1" fillId="0" borderId="0" xfId="1" applyNumberFormat="1" applyFont="1" applyFill="1"/>
    <xf numFmtId="166" fontId="23" fillId="0" borderId="0" xfId="1" applyNumberFormat="1" applyFont="1"/>
    <xf numFmtId="165" fontId="23" fillId="0" borderId="0" xfId="1" applyNumberFormat="1" applyFont="1"/>
    <xf numFmtId="165" fontId="31" fillId="3" borderId="0" xfId="1" applyNumberFormat="1" applyFont="1" applyFill="1"/>
    <xf numFmtId="165" fontId="31" fillId="2" borderId="0" xfId="1" applyNumberFormat="1" applyFont="1" applyFill="1"/>
    <xf numFmtId="0" fontId="3" fillId="4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99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Q64"/>
  <sheetViews>
    <sheetView showGridLines="0" tabSelected="1" view="pageBreakPreview" zoomScale="85" zoomScaleNormal="90" zoomScaleSheetLayoutView="85" workbookViewId="0">
      <selection activeCell="L48" sqref="L48"/>
    </sheetView>
  </sheetViews>
  <sheetFormatPr defaultRowHeight="15" x14ac:dyDescent="0.25"/>
  <cols>
    <col min="1" max="1" width="1.5" style="1" customWidth="1"/>
    <col min="2" max="2" width="1.625" style="1" customWidth="1"/>
    <col min="3" max="3" width="34.5" style="1" customWidth="1"/>
    <col min="4" max="4" width="20.625" style="1" customWidth="1"/>
    <col min="5" max="5" width="4.625" style="1" customWidth="1"/>
    <col min="6" max="7" width="15.625" style="1" customWidth="1"/>
    <col min="8" max="8" width="4.625" style="1" customWidth="1"/>
    <col min="9" max="10" width="15.625" style="1" customWidth="1"/>
    <col min="11" max="11" width="4.625" style="1" customWidth="1"/>
    <col min="12" max="12" width="20.625" style="1" customWidth="1"/>
    <col min="13" max="13" width="4.625" style="1" customWidth="1"/>
    <col min="14" max="15" width="15.625" style="1" customWidth="1"/>
    <col min="16" max="16" width="1.625" style="1" customWidth="1"/>
    <col min="17" max="16384" width="9" style="1"/>
  </cols>
  <sheetData>
    <row r="1" spans="3:16" ht="6" customHeight="1" x14ac:dyDescent="0.25"/>
    <row r="2" spans="3:16" ht="26.25" x14ac:dyDescent="0.4">
      <c r="C2" s="24" t="s">
        <v>15</v>
      </c>
      <c r="D2" s="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.75" x14ac:dyDescent="0.25">
      <c r="C3" s="22" t="s">
        <v>16</v>
      </c>
      <c r="D3" s="2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5.75" thickBot="1" x14ac:dyDescent="0.3">
      <c r="C4" s="26" t="s">
        <v>17</v>
      </c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3:16" ht="6" customHeight="1" thickTop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ht="6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3:16" ht="6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3:16" ht="15" customHeight="1" x14ac:dyDescent="0.25">
      <c r="C8" s="57" t="s">
        <v>59</v>
      </c>
      <c r="D8" s="54"/>
      <c r="E8"/>
      <c r="F8"/>
      <c r="G8"/>
      <c r="H8"/>
      <c r="I8" s="2"/>
      <c r="J8" s="2"/>
      <c r="K8" s="2"/>
      <c r="L8" s="2"/>
      <c r="M8" s="2"/>
      <c r="N8" s="2"/>
      <c r="O8" s="2"/>
      <c r="P8" s="2"/>
    </row>
    <row r="9" spans="3:16" ht="1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3:16" ht="15" customHeight="1" x14ac:dyDescent="0.25">
      <c r="C10" s="23" t="s">
        <v>60</v>
      </c>
      <c r="D10" s="71">
        <v>15500</v>
      </c>
      <c r="E10" s="25" t="s">
        <v>64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6" ht="15" customHeight="1" x14ac:dyDescent="0.25">
      <c r="C11" s="23" t="s">
        <v>61</v>
      </c>
      <c r="D11" s="72">
        <v>0.13</v>
      </c>
      <c r="E11" s="25" t="s">
        <v>64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3:16" ht="15" customHeight="1" x14ac:dyDescent="0.25">
      <c r="C12" s="23" t="s">
        <v>62</v>
      </c>
      <c r="D12" s="72">
        <v>0.215</v>
      </c>
      <c r="E12" s="25" t="s">
        <v>63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3:16" ht="15" customHeight="1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3:16" ht="6" customHeight="1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6" ht="19.5" x14ac:dyDescent="0.55000000000000004">
      <c r="C15" s="58"/>
      <c r="D15" s="58"/>
      <c r="E15" s="58"/>
      <c r="F15" s="59" t="s">
        <v>14</v>
      </c>
      <c r="G15" s="59"/>
      <c r="H15" s="58"/>
      <c r="I15" s="59" t="s">
        <v>28</v>
      </c>
      <c r="J15" s="59"/>
      <c r="K15" s="58"/>
      <c r="L15" s="60" t="s">
        <v>30</v>
      </c>
      <c r="M15" s="58"/>
      <c r="N15" s="59" t="s">
        <v>51</v>
      </c>
      <c r="O15" s="59"/>
      <c r="P15" s="2"/>
    </row>
    <row r="16" spans="3:16" ht="19.5" x14ac:dyDescent="0.55000000000000004">
      <c r="C16" s="58"/>
      <c r="D16" s="58"/>
      <c r="E16" s="58"/>
      <c r="F16" s="61" t="s">
        <v>19</v>
      </c>
      <c r="G16" s="61" t="s">
        <v>18</v>
      </c>
      <c r="H16" s="61"/>
      <c r="I16" s="61" t="s">
        <v>20</v>
      </c>
      <c r="J16" s="62" t="s">
        <v>13</v>
      </c>
      <c r="K16" s="58"/>
      <c r="L16" s="62" t="s">
        <v>53</v>
      </c>
      <c r="M16" s="58"/>
      <c r="N16" s="61" t="s">
        <v>12</v>
      </c>
      <c r="O16" s="61" t="s">
        <v>11</v>
      </c>
      <c r="P16" s="2"/>
    </row>
    <row r="17" spans="3:16" customFormat="1" ht="14.25" x14ac:dyDescent="0.2"/>
    <row r="18" spans="3:16" ht="15" customHeight="1" x14ac:dyDescent="0.25">
      <c r="C18" s="57" t="s">
        <v>49</v>
      </c>
      <c r="D18" s="54"/>
      <c r="E18" s="54"/>
      <c r="F18" s="54"/>
      <c r="G18" s="55"/>
      <c r="H18" s="54"/>
      <c r="I18" s="55"/>
      <c r="J18" s="54"/>
      <c r="K18" s="56"/>
      <c r="L18" s="54"/>
      <c r="M18" s="54"/>
      <c r="N18" s="54"/>
      <c r="O18" s="54"/>
      <c r="P18" s="2"/>
    </row>
    <row r="19" spans="3:16" customFormat="1" ht="15" customHeight="1" x14ac:dyDescent="0.2"/>
    <row r="20" spans="3:16" ht="15" customHeight="1" x14ac:dyDescent="0.25">
      <c r="C20" s="6" t="s"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6" ht="15" customHeight="1" x14ac:dyDescent="0.25">
      <c r="C21" s="40" t="s">
        <v>45</v>
      </c>
      <c r="D21" s="2"/>
      <c r="E21" s="2"/>
      <c r="F21" s="46" t="s">
        <v>37</v>
      </c>
      <c r="G21" s="5">
        <f>+G24-G23-G22</f>
        <v>6032.3999999999987</v>
      </c>
      <c r="H21" s="2"/>
      <c r="I21" s="5">
        <f>+I24-I23-I22</f>
        <v>6853.4883933000019</v>
      </c>
      <c r="J21" s="52">
        <f>+(I21/G21)^(1/3)-1</f>
        <v>4.345530195123537E-2</v>
      </c>
      <c r="K21" s="2"/>
      <c r="L21" s="49" t="s">
        <v>43</v>
      </c>
      <c r="M21" s="2"/>
      <c r="N21" s="2"/>
      <c r="O21" s="2"/>
      <c r="P21" s="2"/>
    </row>
    <row r="22" spans="3:16" ht="15" customHeight="1" x14ac:dyDescent="0.25">
      <c r="C22" s="40" t="s">
        <v>32</v>
      </c>
      <c r="D22" s="2"/>
      <c r="E22" s="2"/>
      <c r="F22" s="46" t="s">
        <v>37</v>
      </c>
      <c r="G22" s="18">
        <f>4200-G25-G26</f>
        <v>735.69999999999982</v>
      </c>
      <c r="H22" s="2"/>
      <c r="I22" s="18">
        <f>+G22*(1+J22)^3</f>
        <v>1033.6055296</v>
      </c>
      <c r="J22" s="34">
        <v>0.12</v>
      </c>
      <c r="K22" s="2"/>
      <c r="L22" s="49" t="s">
        <v>42</v>
      </c>
      <c r="M22" s="2"/>
      <c r="N22" s="2"/>
      <c r="O22" s="2"/>
      <c r="P22" s="2"/>
    </row>
    <row r="23" spans="3:16" ht="15" customHeight="1" x14ac:dyDescent="0.25">
      <c r="C23" s="40" t="s">
        <v>31</v>
      </c>
      <c r="D23" s="2"/>
      <c r="E23" s="2"/>
      <c r="F23" s="47" t="s">
        <v>37</v>
      </c>
      <c r="G23" s="32">
        <v>1750</v>
      </c>
      <c r="H23" s="2"/>
      <c r="I23" s="16">
        <f>+G23*(1+J23)^3</f>
        <v>2084.2780000000007</v>
      </c>
      <c r="J23" s="51">
        <v>0.06</v>
      </c>
      <c r="K23" s="2"/>
      <c r="L23" s="49" t="s">
        <v>41</v>
      </c>
      <c r="M23" s="2"/>
      <c r="N23" s="2"/>
      <c r="O23" s="2"/>
      <c r="P23" s="2"/>
    </row>
    <row r="24" spans="3:16" ht="15" customHeight="1" x14ac:dyDescent="0.25">
      <c r="C24" s="13" t="s">
        <v>34</v>
      </c>
      <c r="D24" s="13"/>
      <c r="E24" s="13"/>
      <c r="F24" s="12">
        <f>+F29-F28-F27</f>
        <v>6191</v>
      </c>
      <c r="G24" s="12">
        <f>+G29-G28-G27</f>
        <v>8518.0999999999985</v>
      </c>
      <c r="H24" s="13"/>
      <c r="I24" s="12">
        <f>+I29-I28-I27</f>
        <v>9971.3719229000017</v>
      </c>
      <c r="J24" s="14">
        <f>+(I24/G24)^(1/3)-1</f>
        <v>5.3911298382142592E-2</v>
      </c>
      <c r="K24" s="13"/>
      <c r="L24" s="50" t="s">
        <v>36</v>
      </c>
      <c r="M24" s="13"/>
      <c r="N24" s="13"/>
      <c r="O24" s="13"/>
      <c r="P24" s="2"/>
    </row>
    <row r="25" spans="3:16" ht="15" customHeight="1" x14ac:dyDescent="0.25">
      <c r="C25" s="40" t="s">
        <v>39</v>
      </c>
      <c r="D25" s="2"/>
      <c r="E25" s="2"/>
      <c r="F25" s="29">
        <v>1182.2</v>
      </c>
      <c r="G25" s="29">
        <v>2628.4</v>
      </c>
      <c r="H25" s="29"/>
      <c r="I25" s="18">
        <f>+I30*I27</f>
        <v>3792.5104747999985</v>
      </c>
      <c r="J25" s="9">
        <f>+(I25/G25)^(1/3)-1</f>
        <v>0.12999999999999989</v>
      </c>
      <c r="K25" s="2"/>
      <c r="L25" s="49" t="s">
        <v>36</v>
      </c>
      <c r="M25" s="2"/>
      <c r="N25" s="2"/>
      <c r="O25" s="2"/>
      <c r="P25" s="2"/>
    </row>
    <row r="26" spans="3:16" ht="15" customHeight="1" x14ac:dyDescent="0.25">
      <c r="C26" s="40" t="s">
        <v>38</v>
      </c>
      <c r="D26" s="2"/>
      <c r="E26" s="2"/>
      <c r="F26" s="30">
        <v>351.70000000000005</v>
      </c>
      <c r="G26" s="30">
        <v>835.90000000000009</v>
      </c>
      <c r="H26" s="2"/>
      <c r="I26" s="16">
        <f>+I27-I25</f>
        <v>1206.1176022999998</v>
      </c>
      <c r="J26" s="15">
        <f>+(I26/G26)^(1/3)-1</f>
        <v>0.12999999999999989</v>
      </c>
      <c r="K26" s="2"/>
      <c r="L26" s="53" t="s">
        <v>36</v>
      </c>
      <c r="M26" s="2"/>
      <c r="N26" s="2"/>
      <c r="O26" s="2"/>
      <c r="P26" s="2"/>
    </row>
    <row r="27" spans="3:16" ht="15" customHeight="1" x14ac:dyDescent="0.25">
      <c r="C27" s="13" t="s">
        <v>0</v>
      </c>
      <c r="D27" s="13"/>
      <c r="E27" s="13"/>
      <c r="F27" s="12">
        <f>SUM(F25:F26)</f>
        <v>1533.9</v>
      </c>
      <c r="G27" s="12">
        <f>SUM(G25:G26)</f>
        <v>3464.3</v>
      </c>
      <c r="H27" s="13"/>
      <c r="I27" s="12">
        <f>+G27*(1+J27)^3</f>
        <v>4998.6280770999983</v>
      </c>
      <c r="J27" s="73">
        <f>+D11</f>
        <v>0.13</v>
      </c>
      <c r="K27" s="13"/>
      <c r="L27" s="50" t="s">
        <v>42</v>
      </c>
      <c r="M27" s="13"/>
      <c r="N27" s="13"/>
      <c r="O27" s="13"/>
      <c r="P27" s="2"/>
    </row>
    <row r="28" spans="3:16" ht="15" customHeight="1" x14ac:dyDescent="0.25">
      <c r="C28" s="40" t="s">
        <v>33</v>
      </c>
      <c r="D28" s="2"/>
      <c r="E28" s="2"/>
      <c r="F28" s="30">
        <v>540.1</v>
      </c>
      <c r="G28" s="30">
        <v>397.4</v>
      </c>
      <c r="H28" s="2"/>
      <c r="I28" s="32">
        <v>530</v>
      </c>
      <c r="J28" s="15">
        <f>+(I28/G28)^(1/3)-1</f>
        <v>0.10073472883879941</v>
      </c>
      <c r="K28" s="2"/>
      <c r="L28" s="49" t="s">
        <v>36</v>
      </c>
      <c r="M28" s="2"/>
      <c r="N28" s="2"/>
      <c r="O28" s="2"/>
      <c r="P28" s="2"/>
    </row>
    <row r="29" spans="3:16" ht="15" customHeight="1" x14ac:dyDescent="0.25">
      <c r="C29" s="45" t="s">
        <v>35</v>
      </c>
      <c r="D29" s="13"/>
      <c r="E29" s="13"/>
      <c r="F29" s="28">
        <v>8265</v>
      </c>
      <c r="G29" s="28">
        <v>12379.8</v>
      </c>
      <c r="H29" s="13"/>
      <c r="I29" s="63">
        <f>+D10</f>
        <v>15500</v>
      </c>
      <c r="J29" s="14">
        <f>+(I29/G29)^(1/3)-1</f>
        <v>7.7802921681322301E-2</v>
      </c>
      <c r="K29" s="13"/>
      <c r="L29" s="50" t="s">
        <v>44</v>
      </c>
      <c r="M29" s="13"/>
      <c r="N29" s="13"/>
      <c r="O29" s="13"/>
      <c r="P29" s="2"/>
    </row>
    <row r="30" spans="3:16" ht="15" customHeight="1" x14ac:dyDescent="0.25">
      <c r="C30" s="4" t="s">
        <v>40</v>
      </c>
      <c r="D30" s="2"/>
      <c r="E30" s="2"/>
      <c r="F30" s="3">
        <f>+F25/F27</f>
        <v>0.77071517048047455</v>
      </c>
      <c r="G30" s="3">
        <f>+G25/G27</f>
        <v>0.75871027335969743</v>
      </c>
      <c r="H30" s="2"/>
      <c r="I30" s="33">
        <f>+G30</f>
        <v>0.75871027335969743</v>
      </c>
      <c r="J30" s="2"/>
      <c r="K30" s="2"/>
      <c r="L30" s="2"/>
      <c r="M30" s="2"/>
      <c r="N30" s="2"/>
      <c r="O30" s="2"/>
      <c r="P30" s="2"/>
    </row>
    <row r="31" spans="3:16" ht="15" customHeight="1" x14ac:dyDescent="0.25">
      <c r="C31" s="25"/>
      <c r="D31" s="2"/>
      <c r="E31" s="2"/>
      <c r="F31" s="2"/>
      <c r="G31" s="48"/>
      <c r="H31" s="2"/>
      <c r="I31" s="48"/>
      <c r="J31" s="2"/>
      <c r="L31" s="2"/>
      <c r="M31" s="2"/>
      <c r="N31" s="2"/>
      <c r="O31" s="2"/>
      <c r="P31" s="2"/>
    </row>
    <row r="32" spans="3:16" ht="15" customHeight="1" x14ac:dyDescent="0.25">
      <c r="C32" s="57" t="s">
        <v>50</v>
      </c>
      <c r="D32" s="54"/>
      <c r="E32" s="54"/>
      <c r="F32" s="54"/>
      <c r="G32" s="55"/>
      <c r="H32" s="54"/>
      <c r="I32" s="55"/>
      <c r="J32" s="54"/>
      <c r="K32" s="56"/>
      <c r="L32" s="54"/>
      <c r="M32" s="54"/>
      <c r="N32" s="54"/>
      <c r="O32" s="54"/>
      <c r="P32" s="2"/>
    </row>
    <row r="33" spans="3:16" ht="15" customHeight="1" x14ac:dyDescent="0.25">
      <c r="C33" s="2"/>
      <c r="D33" s="2"/>
      <c r="E33" s="2"/>
      <c r="F33" s="2"/>
      <c r="G33" s="2"/>
      <c r="I33" s="9"/>
      <c r="J33" s="2"/>
      <c r="K33" s="2"/>
      <c r="L33" s="2"/>
      <c r="M33" s="2"/>
      <c r="N33" s="2"/>
      <c r="O33" s="2"/>
      <c r="P33" s="2"/>
    </row>
    <row r="34" spans="3:16" ht="15" customHeight="1" x14ac:dyDescent="0.25">
      <c r="C34" s="13" t="s">
        <v>35</v>
      </c>
      <c r="D34" s="13"/>
      <c r="E34" s="13"/>
      <c r="F34" s="28">
        <v>8265</v>
      </c>
      <c r="G34" s="28">
        <v>12379.8</v>
      </c>
      <c r="H34" s="12"/>
      <c r="I34" s="63">
        <f>+I29</f>
        <v>15500</v>
      </c>
      <c r="J34" s="14">
        <f>+(I34/G34)^(1/3)-1</f>
        <v>7.7802921681322301E-2</v>
      </c>
      <c r="K34" s="13"/>
      <c r="L34" s="13"/>
      <c r="M34" s="13"/>
      <c r="N34" s="13"/>
      <c r="O34" s="13"/>
      <c r="P34" s="2"/>
    </row>
    <row r="35" spans="3:16" ht="15" customHeight="1" x14ac:dyDescent="0.25">
      <c r="C35" s="17" t="s">
        <v>9</v>
      </c>
      <c r="D35" s="17"/>
      <c r="E35" s="2"/>
      <c r="F35" s="29">
        <v>-1182.2</v>
      </c>
      <c r="G35" s="29">
        <v>-2628.4</v>
      </c>
      <c r="H35" s="18"/>
      <c r="I35" s="64">
        <f>+-I25</f>
        <v>-3792.5104747999985</v>
      </c>
      <c r="J35" s="9">
        <f>+(I35/G35)^(1/3)-1</f>
        <v>0.12999999999999989</v>
      </c>
      <c r="K35" s="2"/>
      <c r="L35" s="2"/>
      <c r="M35" s="2"/>
      <c r="N35" s="2"/>
      <c r="O35" s="2"/>
      <c r="P35" s="2"/>
    </row>
    <row r="36" spans="3:16" ht="15" customHeight="1" x14ac:dyDescent="0.25">
      <c r="C36" s="17" t="s">
        <v>8</v>
      </c>
      <c r="D36" s="17"/>
      <c r="E36" s="2"/>
      <c r="F36" s="30">
        <v>-540.1</v>
      </c>
      <c r="G36" s="30">
        <v>-397.4</v>
      </c>
      <c r="H36" s="16"/>
      <c r="I36" s="44">
        <f>+-I28</f>
        <v>-530</v>
      </c>
      <c r="J36" s="15">
        <f>+(I36/G36)^(1/3)-1</f>
        <v>0.10073472883879941</v>
      </c>
      <c r="K36" s="2"/>
      <c r="L36" s="2"/>
      <c r="M36" s="2"/>
      <c r="N36" s="2"/>
      <c r="O36" s="2"/>
      <c r="P36" s="2"/>
    </row>
    <row r="37" spans="3:16" ht="15" customHeight="1" x14ac:dyDescent="0.25">
      <c r="C37" s="13" t="s">
        <v>7</v>
      </c>
      <c r="D37" s="13"/>
      <c r="E37" s="13"/>
      <c r="F37" s="12">
        <f>SUM(F34:F36)</f>
        <v>6542.7</v>
      </c>
      <c r="G37" s="12">
        <f>SUM(G34:G36)</f>
        <v>9354</v>
      </c>
      <c r="H37" s="12"/>
      <c r="I37" s="12">
        <f>SUM(I34:I36)</f>
        <v>11177.489525200002</v>
      </c>
      <c r="J37" s="14">
        <f>+(I37/G37)^(1/3)-1</f>
        <v>6.116349635418139E-2</v>
      </c>
      <c r="K37" s="13"/>
      <c r="L37" s="13"/>
      <c r="M37" s="13"/>
      <c r="N37" s="13"/>
      <c r="O37" s="13"/>
      <c r="P37" s="2"/>
    </row>
    <row r="38" spans="3:16" ht="15" customHeight="1" x14ac:dyDescent="0.25">
      <c r="C38" s="4" t="s">
        <v>4</v>
      </c>
      <c r="D38" s="4"/>
      <c r="E38" s="2"/>
      <c r="F38" s="11">
        <f>+F24</f>
        <v>6191</v>
      </c>
      <c r="G38" s="11">
        <f>+G24</f>
        <v>8518.0999999999985</v>
      </c>
      <c r="H38" s="11"/>
      <c r="I38" s="11">
        <f>+I24</f>
        <v>9971.3719229000017</v>
      </c>
      <c r="J38" s="3">
        <f>+(I38/G38)^(1/3)-1</f>
        <v>5.3911298382142592E-2</v>
      </c>
      <c r="K38" s="2"/>
      <c r="L38" s="2"/>
      <c r="M38" s="2"/>
      <c r="N38" s="2"/>
      <c r="O38" s="2"/>
      <c r="P38" s="2"/>
    </row>
    <row r="39" spans="3:16" ht="15" customHeight="1" x14ac:dyDescent="0.25">
      <c r="C39" s="4" t="s">
        <v>46</v>
      </c>
      <c r="D39" s="4"/>
      <c r="E39" s="2"/>
      <c r="F39" s="66">
        <f>+F26</f>
        <v>351.70000000000005</v>
      </c>
      <c r="G39" s="66">
        <f>+G26</f>
        <v>835.90000000000009</v>
      </c>
      <c r="H39" s="11"/>
      <c r="I39" s="66">
        <f>+I26</f>
        <v>1206.1176022999998</v>
      </c>
      <c r="J39" s="3">
        <f>+(I39/G39)^(1/3)-1</f>
        <v>0.12999999999999989</v>
      </c>
      <c r="K39" s="2"/>
      <c r="L39" s="2"/>
      <c r="M39" s="2"/>
      <c r="N39" s="2"/>
      <c r="O39" s="2"/>
      <c r="P39" s="2"/>
    </row>
    <row r="40" spans="3:16" ht="15" customHeight="1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3:16" ht="15" customHeight="1" x14ac:dyDescent="0.25">
      <c r="C41" s="13" t="s">
        <v>24</v>
      </c>
      <c r="D41" s="13"/>
      <c r="E41" s="13"/>
      <c r="F41" s="28">
        <v>1638.3</v>
      </c>
      <c r="G41" s="28">
        <v>2447.6</v>
      </c>
      <c r="H41" s="12"/>
      <c r="I41" s="12">
        <f>+I49*I34</f>
        <v>3332.5</v>
      </c>
      <c r="J41" s="14">
        <f>+(I41/G41)^(1/3)-1</f>
        <v>0.10834909547689131</v>
      </c>
      <c r="K41" s="13"/>
      <c r="L41" s="13"/>
      <c r="M41" s="13"/>
      <c r="N41" s="12"/>
      <c r="O41" s="12"/>
      <c r="P41" s="2"/>
    </row>
    <row r="42" spans="3:16" ht="15" customHeight="1" x14ac:dyDescent="0.25">
      <c r="C42" s="17" t="s">
        <v>6</v>
      </c>
      <c r="D42" s="17"/>
      <c r="E42" s="2"/>
      <c r="F42" s="18">
        <f>+F36</f>
        <v>-540.1</v>
      </c>
      <c r="G42" s="18">
        <f>+G36</f>
        <v>-397.4</v>
      </c>
      <c r="H42" s="18"/>
      <c r="I42" s="18">
        <f>+I36</f>
        <v>-530</v>
      </c>
      <c r="J42" s="9">
        <f>+(I42/G42)^(1/3)-1</f>
        <v>0.10073472883879941</v>
      </c>
      <c r="K42" s="2"/>
      <c r="L42" s="2"/>
      <c r="M42" s="2"/>
      <c r="N42" s="2"/>
      <c r="O42" s="2"/>
      <c r="P42" s="2"/>
    </row>
    <row r="43" spans="3:16" ht="15" customHeight="1" x14ac:dyDescent="0.25">
      <c r="C43" s="17" t="s">
        <v>5</v>
      </c>
      <c r="D43" s="17"/>
      <c r="E43" s="2"/>
      <c r="F43" s="16">
        <f>+-73.7+5.7</f>
        <v>-68</v>
      </c>
      <c r="G43" s="16">
        <f>+-54.3+20.7</f>
        <v>-33.599999999999994</v>
      </c>
      <c r="H43" s="16"/>
      <c r="I43" s="32">
        <f>+I36*10%</f>
        <v>-53</v>
      </c>
      <c r="J43" s="15">
        <f>+(I43/G43)^(1/3)-1</f>
        <v>0.16406937594559445</v>
      </c>
      <c r="K43" s="2"/>
      <c r="L43" s="2"/>
      <c r="M43" s="2"/>
      <c r="N43" s="2"/>
      <c r="O43" s="2"/>
      <c r="P43" s="2"/>
    </row>
    <row r="44" spans="3:16" ht="15" customHeight="1" x14ac:dyDescent="0.25">
      <c r="C44" s="13" t="s">
        <v>25</v>
      </c>
      <c r="D44" s="13"/>
      <c r="E44" s="13"/>
      <c r="F44" s="12">
        <f>SUM(F41:F43)</f>
        <v>1030.1999999999998</v>
      </c>
      <c r="G44" s="12">
        <f>SUM(G41:G43)</f>
        <v>2016.6</v>
      </c>
      <c r="H44" s="12"/>
      <c r="I44" s="12">
        <f>SUM(I41:I43)</f>
        <v>2749.5</v>
      </c>
      <c r="J44" s="14">
        <f>+(I44/G44)^(1/3)-1</f>
        <v>0.1088632417044646</v>
      </c>
      <c r="K44" s="13"/>
      <c r="L44" s="13"/>
      <c r="M44" s="13"/>
      <c r="N44" s="12"/>
      <c r="O44" s="12"/>
      <c r="P44" s="2"/>
    </row>
    <row r="45" spans="3:16" ht="15" customHeight="1" x14ac:dyDescent="0.25">
      <c r="C45" s="4" t="s">
        <v>4</v>
      </c>
      <c r="D45" s="4"/>
      <c r="E45" s="2"/>
      <c r="F45" s="11">
        <f>+F44-F46</f>
        <v>920.19999999999982</v>
      </c>
      <c r="G45" s="31">
        <v>1616.5332026995281</v>
      </c>
      <c r="H45" s="11"/>
      <c r="I45" s="11">
        <f>+I44-I46</f>
        <v>2108.791761204528</v>
      </c>
      <c r="J45" s="2"/>
      <c r="K45" s="2"/>
      <c r="L45" s="2"/>
      <c r="M45" s="2"/>
      <c r="N45" s="2"/>
      <c r="O45" s="2"/>
      <c r="P45" s="2"/>
    </row>
    <row r="46" spans="3:16" ht="15" customHeight="1" x14ac:dyDescent="0.25">
      <c r="C46" s="4" t="s">
        <v>3</v>
      </c>
      <c r="D46" s="4"/>
      <c r="E46" s="2"/>
      <c r="F46" s="31">
        <v>110</v>
      </c>
      <c r="G46" s="31">
        <v>400.06679730047227</v>
      </c>
      <c r="H46" s="11"/>
      <c r="I46" s="11">
        <f>+((I39-G39)*I55)+G46</f>
        <v>640.70823879547208</v>
      </c>
      <c r="J46" s="2"/>
      <c r="K46" s="2"/>
      <c r="L46" s="2"/>
      <c r="M46" s="2"/>
      <c r="N46" s="2"/>
      <c r="O46" s="2"/>
      <c r="P46" s="2"/>
    </row>
    <row r="47" spans="3:16" ht="15" customHeight="1" x14ac:dyDescent="0.25">
      <c r="C47" s="2"/>
      <c r="D47" s="2"/>
      <c r="E47" s="2"/>
      <c r="F47" s="2"/>
      <c r="G47" s="9"/>
      <c r="H47" s="2"/>
      <c r="I47" s="7">
        <f>+I50-I49</f>
        <v>3.09854687227544E-2</v>
      </c>
      <c r="J47" s="2"/>
      <c r="K47" s="2"/>
      <c r="L47" s="2"/>
      <c r="M47" s="2"/>
      <c r="N47" s="2"/>
      <c r="O47" s="2"/>
      <c r="P47" s="2"/>
    </row>
    <row r="48" spans="3:16" ht="15" customHeight="1" x14ac:dyDescent="0.25">
      <c r="C48" s="6" t="s">
        <v>2</v>
      </c>
      <c r="D48" s="6"/>
      <c r="E48" s="2"/>
      <c r="F48" s="2"/>
      <c r="H48" s="2"/>
      <c r="I48" s="2"/>
      <c r="J48" s="2"/>
      <c r="K48" s="2"/>
      <c r="L48" s="2"/>
      <c r="M48" s="2"/>
      <c r="N48" s="2"/>
      <c r="O48" s="2"/>
      <c r="P48" s="2"/>
    </row>
    <row r="49" spans="3:17" ht="15" customHeight="1" thickBot="1" x14ac:dyDescent="0.3">
      <c r="C49" s="40" t="s">
        <v>21</v>
      </c>
      <c r="D49" s="40"/>
      <c r="E49" s="2"/>
      <c r="F49" s="9">
        <f>+F41/F34</f>
        <v>0.19822141560798548</v>
      </c>
      <c r="G49" s="9">
        <f>+G41/G34</f>
        <v>0.1977091713921065</v>
      </c>
      <c r="H49" s="9"/>
      <c r="I49" s="74">
        <f>+D12</f>
        <v>0.215</v>
      </c>
      <c r="J49" s="2"/>
      <c r="K49" s="2"/>
      <c r="L49" s="69" t="s">
        <v>65</v>
      </c>
      <c r="M49" s="2"/>
      <c r="N49" s="7">
        <f>+G49-F49</f>
        <v>-5.1224421587897639E-4</v>
      </c>
      <c r="O49" s="7">
        <f>+I49-G49</f>
        <v>1.7290828607893494E-2</v>
      </c>
      <c r="P49" s="2"/>
    </row>
    <row r="50" spans="3:17" ht="15" customHeight="1" thickBot="1" x14ac:dyDescent="0.3">
      <c r="C50" s="35" t="s">
        <v>22</v>
      </c>
      <c r="D50" s="42"/>
      <c r="E50" s="36"/>
      <c r="F50" s="37">
        <f>+F44/F37</f>
        <v>0.15745793021229765</v>
      </c>
      <c r="G50" s="37">
        <f>+G44/G37</f>
        <v>0.21558691468890312</v>
      </c>
      <c r="H50" s="37"/>
      <c r="I50" s="37">
        <f>+I44/I37</f>
        <v>0.2459854687227544</v>
      </c>
      <c r="J50" s="36"/>
      <c r="K50" s="36"/>
      <c r="L50" s="75" t="s">
        <v>66</v>
      </c>
      <c r="M50" s="36"/>
      <c r="N50" s="38">
        <f>+G50-F50</f>
        <v>5.8128984476605472E-2</v>
      </c>
      <c r="O50" s="39">
        <f>+I50-G50</f>
        <v>3.0398554033851277E-2</v>
      </c>
      <c r="P50" s="43"/>
      <c r="Q50" s="67" t="s">
        <v>52</v>
      </c>
    </row>
    <row r="51" spans="3:17" ht="15" customHeight="1" x14ac:dyDescent="0.25">
      <c r="C51" s="40" t="s">
        <v>26</v>
      </c>
      <c r="D51" s="10"/>
      <c r="E51" s="2"/>
      <c r="F51" s="9">
        <f>+F45/F38</f>
        <v>0.14863511549022773</v>
      </c>
      <c r="G51" s="9">
        <f>+G45/G38</f>
        <v>0.18977626497687611</v>
      </c>
      <c r="H51" s="9"/>
      <c r="I51" s="9">
        <f>+I45/I38</f>
        <v>0.21148461590942466</v>
      </c>
      <c r="J51" s="2"/>
      <c r="K51" s="2"/>
      <c r="L51" s="2"/>
      <c r="M51" s="2"/>
      <c r="N51" s="7">
        <f>+G51-F51</f>
        <v>4.1141149486648376E-2</v>
      </c>
      <c r="O51" s="8">
        <f>+I51-G51</f>
        <v>2.1708350932548554E-2</v>
      </c>
      <c r="P51" s="43"/>
      <c r="Q51" s="67" t="s">
        <v>48</v>
      </c>
    </row>
    <row r="52" spans="3:17" ht="15" customHeight="1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3:17" ht="15" customHeight="1" x14ac:dyDescent="0.25">
      <c r="C53" s="6" t="s">
        <v>58</v>
      </c>
      <c r="D53" s="6"/>
      <c r="E53" s="2"/>
      <c r="F53" s="2"/>
      <c r="G53" s="5"/>
      <c r="H53" s="5"/>
      <c r="I53" s="2"/>
      <c r="J53" s="2"/>
      <c r="K53" s="2"/>
      <c r="L53" s="2"/>
      <c r="M53" s="2"/>
      <c r="N53" s="2"/>
      <c r="O53" s="2"/>
      <c r="P53" s="2"/>
    </row>
    <row r="54" spans="3:17" ht="15" customHeight="1" x14ac:dyDescent="0.25">
      <c r="C54" s="4" t="s">
        <v>1</v>
      </c>
      <c r="D54" s="4"/>
      <c r="E54" s="2"/>
      <c r="F54" s="2"/>
      <c r="G54" s="3">
        <f>+(G45-F45)/(G38-F38)</f>
        <v>0.29922788135427303</v>
      </c>
      <c r="H54" s="3"/>
      <c r="I54" s="3">
        <f>+(I45-G45)/(I38-G38)</f>
        <v>0.33872433007767622</v>
      </c>
      <c r="J54" s="2"/>
      <c r="K54" s="2"/>
      <c r="L54" s="2"/>
      <c r="M54" s="2"/>
      <c r="N54" s="2"/>
      <c r="O54" s="2"/>
      <c r="P54" s="2"/>
    </row>
    <row r="55" spans="3:17" ht="15" customHeight="1" x14ac:dyDescent="0.25">
      <c r="C55" s="4" t="s">
        <v>47</v>
      </c>
      <c r="D55" s="4"/>
      <c r="E55" s="2"/>
      <c r="F55" s="2"/>
      <c r="G55" s="3">
        <f>+(G46-F46)/(G39-F39)</f>
        <v>0.59906401755570471</v>
      </c>
      <c r="H55" s="3"/>
      <c r="I55" s="33">
        <v>0.65</v>
      </c>
      <c r="J55" s="68"/>
      <c r="K55" s="2"/>
      <c r="L55" s="2"/>
      <c r="M55" s="2"/>
      <c r="N55" s="2"/>
      <c r="O55" s="2"/>
      <c r="P55" s="2"/>
    </row>
    <row r="56" spans="3:17" ht="15" customHeight="1" x14ac:dyDescent="0.25">
      <c r="C56" s="4"/>
      <c r="D56" s="4"/>
      <c r="E56" s="2"/>
      <c r="F56" s="2"/>
      <c r="G56" s="3"/>
      <c r="H56" s="3"/>
      <c r="I56" s="33"/>
      <c r="J56" s="68"/>
      <c r="K56" s="2"/>
      <c r="L56" s="2"/>
      <c r="M56" s="2"/>
      <c r="N56" s="2"/>
      <c r="O56" s="2"/>
      <c r="P56" s="2"/>
    </row>
    <row r="57" spans="3:17" ht="15" customHeight="1" x14ac:dyDescent="0.25">
      <c r="C57" s="6" t="s">
        <v>55</v>
      </c>
      <c r="D57" s="4"/>
      <c r="E57" s="2"/>
      <c r="F57" s="2"/>
      <c r="G57" s="3"/>
      <c r="H57" s="3"/>
      <c r="I57" s="65"/>
      <c r="J57" s="70"/>
      <c r="K57" s="2"/>
      <c r="L57" s="2"/>
      <c r="M57" s="2"/>
      <c r="N57" s="2"/>
      <c r="O57" s="2"/>
      <c r="P57" s="2"/>
    </row>
    <row r="58" spans="3:17" ht="15" customHeight="1" x14ac:dyDescent="0.25">
      <c r="C58" s="4" t="s">
        <v>56</v>
      </c>
      <c r="D58" s="4"/>
      <c r="E58" s="2"/>
      <c r="F58" s="2"/>
      <c r="G58" s="3">
        <f>+(G41/(G29-G25+F25))</f>
        <v>0.22386039364893537</v>
      </c>
      <c r="H58" s="3"/>
      <c r="I58" s="3">
        <f>+(I41/(I29-I25+G25))</f>
        <v>0.23245854358336426</v>
      </c>
      <c r="J58" s="68"/>
      <c r="K58" s="2"/>
      <c r="L58" s="2"/>
      <c r="M58" s="2"/>
      <c r="N58" s="2"/>
      <c r="O58" s="2"/>
      <c r="P58" s="2"/>
    </row>
    <row r="59" spans="3:17" x14ac:dyDescent="0.25">
      <c r="C59" s="4" t="s">
        <v>57</v>
      </c>
      <c r="D59" s="2"/>
      <c r="E59" s="2"/>
      <c r="F59" s="2"/>
      <c r="G59" s="3">
        <f>+G49-G58</f>
        <v>-2.6151222256828865E-2</v>
      </c>
      <c r="H59" s="2"/>
      <c r="I59" s="3">
        <f>+I49-I58</f>
        <v>-1.7458543583364267E-2</v>
      </c>
      <c r="J59" s="2"/>
      <c r="K59" s="2"/>
      <c r="L59" s="69" t="s">
        <v>54</v>
      </c>
      <c r="M59" s="2"/>
      <c r="N59" s="2"/>
      <c r="O59" s="7"/>
      <c r="P59" s="2"/>
    </row>
    <row r="60" spans="3:17" x14ac:dyDescent="0.25">
      <c r="E60" s="2"/>
      <c r="F60" s="19"/>
      <c r="G60" s="19"/>
      <c r="H60" s="5"/>
      <c r="I60" s="2"/>
      <c r="J60" s="2"/>
      <c r="K60" s="2"/>
      <c r="L60" s="2"/>
      <c r="M60" s="2"/>
      <c r="N60" s="2"/>
      <c r="O60" s="9"/>
      <c r="P60" s="2"/>
    </row>
    <row r="61" spans="3:17" x14ac:dyDescent="0.25">
      <c r="C61" s="25" t="s">
        <v>27</v>
      </c>
      <c r="D61" s="25"/>
      <c r="E61" s="2"/>
      <c r="F61" s="2"/>
      <c r="G61" s="9"/>
      <c r="H61" s="9"/>
      <c r="I61" s="20"/>
      <c r="J61" s="2"/>
      <c r="K61" s="2"/>
      <c r="L61" s="2"/>
      <c r="M61" s="2"/>
      <c r="N61" s="2"/>
      <c r="O61" s="2"/>
      <c r="P61" s="2"/>
    </row>
    <row r="62" spans="3:17" x14ac:dyDescent="0.25">
      <c r="C62" s="25" t="s">
        <v>29</v>
      </c>
      <c r="D62" s="25"/>
      <c r="E62" s="2"/>
      <c r="F62" s="2"/>
      <c r="G62" s="2"/>
      <c r="H62" s="2"/>
      <c r="I62" s="21"/>
      <c r="J62" s="2"/>
      <c r="K62" s="2"/>
      <c r="L62" s="2"/>
      <c r="M62" s="2"/>
      <c r="N62" s="2"/>
      <c r="O62" s="2"/>
      <c r="P62" s="2"/>
    </row>
    <row r="63" spans="3:17" x14ac:dyDescent="0.25">
      <c r="C63" s="41" t="s">
        <v>23</v>
      </c>
      <c r="D63" s="41"/>
      <c r="E63" s="2"/>
      <c r="F63" s="2"/>
      <c r="G63" s="2"/>
      <c r="H63" s="2"/>
      <c r="I63" s="20"/>
      <c r="J63" s="2"/>
      <c r="K63" s="2"/>
      <c r="L63" s="2"/>
      <c r="M63" s="2"/>
      <c r="N63" s="2"/>
      <c r="O63" s="2"/>
      <c r="P63" s="2"/>
    </row>
    <row r="64" spans="3:17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pageMargins left="0.7" right="0.7" top="0.75" bottom="0.75" header="0.3" footer="0.3"/>
  <pageSetup scale="34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Margin</vt:lpstr>
      <vt:lpstr>Margin!Print_Area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Korn</dc:creator>
  <cp:lastModifiedBy>Charles Korn</cp:lastModifiedBy>
  <dcterms:created xsi:type="dcterms:W3CDTF">2017-10-27T18:21:29Z</dcterms:created>
  <dcterms:modified xsi:type="dcterms:W3CDTF">2017-10-27T23:34:18Z</dcterms:modified>
</cp:coreProperties>
</file>